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Wischer\PowerFolders\02_E-Mob LK WF\Stammtisch E-Mobilität\"/>
    </mc:Choice>
  </mc:AlternateContent>
  <xr:revisionPtr revIDLastSave="0" documentId="8_{73D1EEFD-F656-42EB-AEC8-7850733FA108}" xr6:coauthVersionLast="41" xr6:coauthVersionMax="41" xr10:uidLastSave="{00000000-0000-0000-0000-000000000000}"/>
  <bookViews>
    <workbookView xWindow="19090" yWindow="1810" windowWidth="19420" windowHeight="10420" xr2:uid="{00000000-000D-0000-FFFF-FFFF00000000}"/>
  </bookViews>
  <sheets>
    <sheet name="Einspeisung und EV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3" i="1" l="1"/>
  <c r="C14" i="1" l="1"/>
  <c r="E18" i="1"/>
  <c r="D23" i="1"/>
  <c r="E16" i="1"/>
  <c r="E20" i="1" l="1"/>
  <c r="D13" i="1"/>
  <c r="E13" i="1"/>
  <c r="C13" i="1"/>
  <c r="D49" i="1" l="1"/>
  <c r="D24" i="1"/>
  <c r="E32" i="1"/>
  <c r="D27" i="1"/>
  <c r="E27" i="1"/>
  <c r="C27" i="1"/>
  <c r="D28" i="1"/>
  <c r="E28" i="1"/>
  <c r="J3" i="1" s="1"/>
  <c r="C28" i="1"/>
  <c r="E19" i="1"/>
  <c r="E17" i="1"/>
  <c r="D14" i="1"/>
  <c r="E14" i="1"/>
  <c r="D12" i="1"/>
  <c r="E12" i="1"/>
  <c r="C12" i="1"/>
  <c r="D11" i="1"/>
  <c r="E11" i="1"/>
  <c r="C11" i="1"/>
  <c r="D10" i="1"/>
  <c r="E10" i="1"/>
  <c r="C10" i="1"/>
  <c r="D4" i="1"/>
  <c r="D7" i="1" s="1"/>
  <c r="E4" i="1"/>
  <c r="E7" i="1" s="1"/>
  <c r="C4" i="1"/>
  <c r="C7" i="1" s="1"/>
  <c r="D3" i="1"/>
  <c r="E3" i="1"/>
  <c r="C3" i="1"/>
  <c r="C52" i="1" s="1"/>
  <c r="C49" i="1"/>
  <c r="C50" i="1" s="1"/>
  <c r="E33" i="1"/>
  <c r="K8" i="1" l="1"/>
  <c r="K12" i="1"/>
  <c r="K16" i="1"/>
  <c r="K20" i="1"/>
  <c r="K4" i="1"/>
  <c r="K5" i="1"/>
  <c r="K9" i="1"/>
  <c r="K13" i="1"/>
  <c r="K17" i="1"/>
  <c r="K21" i="1"/>
  <c r="K6" i="1"/>
  <c r="K10" i="1"/>
  <c r="K14" i="1"/>
  <c r="K18" i="1"/>
  <c r="K22" i="1"/>
  <c r="K15" i="1"/>
  <c r="K19" i="1"/>
  <c r="K7" i="1"/>
  <c r="K23" i="1"/>
  <c r="K11" i="1"/>
  <c r="H3" i="1"/>
  <c r="D8" i="1"/>
  <c r="D25" i="1"/>
  <c r="E21" i="1"/>
  <c r="D38" i="1"/>
  <c r="C38" i="1"/>
  <c r="E35" i="1"/>
  <c r="E43" i="1" s="1"/>
  <c r="C41" i="1"/>
  <c r="C8" i="1"/>
  <c r="E8" i="1"/>
  <c r="D52" i="1"/>
  <c r="C39" i="1"/>
  <c r="D50" i="1"/>
  <c r="E44" i="1"/>
  <c r="E45" i="1"/>
  <c r="E34" i="1"/>
  <c r="E39" i="1"/>
  <c r="E38" i="1"/>
  <c r="D39" i="1"/>
  <c r="E46" i="1" l="1"/>
  <c r="E47" i="1"/>
  <c r="E49" i="1"/>
  <c r="E50" i="1" s="1"/>
  <c r="E24" i="1"/>
  <c r="M15" i="1" l="1"/>
  <c r="E25" i="1"/>
  <c r="E52" i="1"/>
  <c r="C30" i="1"/>
  <c r="C37" i="1" s="1"/>
  <c r="D30" i="1"/>
  <c r="D37" i="1" s="1"/>
  <c r="C29" i="1"/>
  <c r="E30" i="1"/>
  <c r="E37" i="1" s="1"/>
  <c r="E40" i="1" s="1"/>
  <c r="E41" i="1" s="1"/>
  <c r="M22" i="1" l="1"/>
  <c r="M6" i="1"/>
  <c r="M9" i="1"/>
  <c r="M16" i="1"/>
  <c r="M18" i="1"/>
  <c r="M5" i="1"/>
  <c r="M14" i="1"/>
  <c r="M8" i="1"/>
  <c r="H11" i="1"/>
  <c r="H4" i="1"/>
  <c r="H20" i="1"/>
  <c r="H5" i="1"/>
  <c r="H22" i="1"/>
  <c r="H6" i="1"/>
  <c r="H15" i="1"/>
  <c r="H8" i="1"/>
  <c r="H7" i="1"/>
  <c r="H13" i="1"/>
  <c r="H19" i="1"/>
  <c r="H12" i="1"/>
  <c r="H10" i="1"/>
  <c r="H21" i="1"/>
  <c r="H9" i="1"/>
  <c r="H23" i="1"/>
  <c r="H16" i="1"/>
  <c r="H18" i="1"/>
  <c r="H14" i="1"/>
  <c r="H17" i="1"/>
  <c r="M11" i="1"/>
  <c r="M21" i="1"/>
  <c r="M12" i="1"/>
  <c r="J8" i="1"/>
  <c r="J4" i="1"/>
  <c r="J17" i="1"/>
  <c r="J14" i="1"/>
  <c r="J15" i="1"/>
  <c r="J12" i="1"/>
  <c r="J5" i="1"/>
  <c r="J21" i="1"/>
  <c r="J18" i="1"/>
  <c r="J19" i="1"/>
  <c r="J16" i="1"/>
  <c r="J9" i="1"/>
  <c r="J6" i="1"/>
  <c r="J22" i="1"/>
  <c r="J7" i="1"/>
  <c r="J20" i="1"/>
  <c r="J13" i="1"/>
  <c r="J10" i="1"/>
  <c r="J11" i="1"/>
  <c r="J23" i="1"/>
  <c r="M23" i="1"/>
  <c r="M17" i="1"/>
  <c r="M4" i="1"/>
  <c r="D40" i="1"/>
  <c r="I16" i="1"/>
  <c r="I4" i="1"/>
  <c r="I13" i="1"/>
  <c r="I17" i="1"/>
  <c r="I21" i="1"/>
  <c r="I18" i="1"/>
  <c r="I6" i="1"/>
  <c r="I10" i="1"/>
  <c r="I14" i="1"/>
  <c r="I19" i="1"/>
  <c r="I15" i="1"/>
  <c r="I22" i="1"/>
  <c r="I7" i="1"/>
  <c r="I11" i="1"/>
  <c r="I23" i="1"/>
  <c r="I20" i="1"/>
  <c r="I5" i="1"/>
  <c r="I9" i="1"/>
  <c r="I8" i="1"/>
  <c r="I12" i="1"/>
  <c r="M19" i="1"/>
  <c r="M7" i="1"/>
  <c r="M10" i="1"/>
  <c r="M13" i="1"/>
  <c r="M20" i="1"/>
  <c r="E51" i="1"/>
  <c r="C51" i="1"/>
  <c r="C40" i="1"/>
  <c r="D41" i="1"/>
  <c r="D51" i="1" s="1"/>
  <c r="D29" i="1"/>
  <c r="E29" i="1"/>
  <c r="L20" i="1" l="1"/>
  <c r="L13" i="1"/>
  <c r="L10" i="1"/>
  <c r="L19" i="1"/>
  <c r="L15" i="1"/>
  <c r="L8" i="1"/>
  <c r="L4" i="1"/>
  <c r="L17" i="1"/>
  <c r="L14" i="1"/>
  <c r="L7" i="1"/>
  <c r="L12" i="1"/>
  <c r="L5" i="1"/>
  <c r="L21" i="1"/>
  <c r="L23" i="1"/>
  <c r="L9" i="1"/>
  <c r="L6" i="1"/>
  <c r="L11" i="1"/>
  <c r="L18" i="1"/>
  <c r="L16" i="1"/>
  <c r="L22" i="1"/>
  <c r="D53" i="1"/>
  <c r="D54" i="1"/>
  <c r="C53" i="1"/>
  <c r="C54" i="1"/>
  <c r="E53" i="1"/>
  <c r="E54" i="1"/>
  <c r="H38" i="1" l="1"/>
  <c r="H33" i="1"/>
  <c r="H29" i="1"/>
  <c r="H39" i="1"/>
  <c r="H31" i="1"/>
  <c r="H37" i="1"/>
  <c r="H30" i="1"/>
  <c r="H32" i="1"/>
  <c r="H35" i="1"/>
  <c r="H34" i="1"/>
  <c r="H40" i="1"/>
  <c r="H36" i="1"/>
</calcChain>
</file>

<file path=xl/sharedStrings.xml><?xml version="1.0" encoding="utf-8"?>
<sst xmlns="http://schemas.openxmlformats.org/spreadsheetml/2006/main" count="70" uniqueCount="66">
  <si>
    <t>Eigenverbrauch</t>
  </si>
  <si>
    <t>Volleinspeisung</t>
  </si>
  <si>
    <t>Speicher</t>
  </si>
  <si>
    <t>Autarkiegrad</t>
  </si>
  <si>
    <t>Variablen</t>
  </si>
  <si>
    <t>Anschaffungskosten Speicher</t>
  </si>
  <si>
    <t>Einspeisevergütung</t>
  </si>
  <si>
    <t>Kosten selbsterzeugter Strom pro kWh</t>
  </si>
  <si>
    <t>Zyklenzahl</t>
  </si>
  <si>
    <t>Eigenkapital</t>
  </si>
  <si>
    <t>Fremdkapital</t>
  </si>
  <si>
    <t>jährliche Degradation</t>
  </si>
  <si>
    <t>Entladetiefe</t>
  </si>
  <si>
    <t>Wirkungsgrad</t>
  </si>
  <si>
    <t>Angaben der PV-Anlage</t>
  </si>
  <si>
    <t>jährl. Erzeugbare Strommenge pro kWp [kWh]</t>
  </si>
  <si>
    <t>Leistung [kWp]</t>
  </si>
  <si>
    <t>Nennkapazität Speicher [kWh]</t>
  </si>
  <si>
    <t>Einmalige Investitionskosten PV-Anlage</t>
  </si>
  <si>
    <t>Einmalige Investitionskosten Speicher (LI-Speicher)</t>
  </si>
  <si>
    <t>Kreditzinsen PV-Anlage</t>
  </si>
  <si>
    <t>Kreditzinsen Speicher</t>
  </si>
  <si>
    <t>Versicherung</t>
  </si>
  <si>
    <t>Wartung und Reparaturen</t>
  </si>
  <si>
    <t>EEG-Umlage pro kWh</t>
  </si>
  <si>
    <t>Angaben KMU</t>
  </si>
  <si>
    <t>jährlicher Stromverbrauch [kWh]</t>
  </si>
  <si>
    <t>jährlicher Eigenverbrauch [kWh]</t>
  </si>
  <si>
    <t>jährlicher Eigenverbrauchsanteil [%]</t>
  </si>
  <si>
    <t>Nutzungsdauer (hier = Vergütungsdauer) [Jahre]</t>
  </si>
  <si>
    <t>Angaben Speicher</t>
  </si>
  <si>
    <t xml:space="preserve">Laufende Kosten PV-Anlage </t>
  </si>
  <si>
    <t>Laufende Kosten Speicher</t>
  </si>
  <si>
    <t>Kosten gespeicherter Strom pro kWh</t>
  </si>
  <si>
    <t>Angaben Eigenverbrauch</t>
  </si>
  <si>
    <t>Einnahmen</t>
  </si>
  <si>
    <t>Tatsächliche Speicherkapazität [kWh]</t>
  </si>
  <si>
    <t>jährliche Stromkosten [€]</t>
  </si>
  <si>
    <t>voraussichtliche jährl.  Preissteigerung</t>
  </si>
  <si>
    <t>Durchschnitllicher Strompreis über  Nutzungsdauer [€]</t>
  </si>
  <si>
    <t>jährliche Stromspeicherkosten über Nutzungsdauer</t>
  </si>
  <si>
    <t>jährlich eingespeister Strom [kWh]</t>
  </si>
  <si>
    <t>Amortisationszeit [Jahre]</t>
  </si>
  <si>
    <t>jährliche Eigenverbrauchskosten bei Anlagen</t>
  </si>
  <si>
    <t>Kosten pro kWp Leistung</t>
  </si>
  <si>
    <t>Anschaffungskosten PV-Anlage</t>
  </si>
  <si>
    <t>Nutzungsdauer Speicher [Jahre]</t>
  </si>
  <si>
    <t>Strompreis pro kWh</t>
  </si>
  <si>
    <t>Durchschnittliche jährliche Stromkosten [€]</t>
  </si>
  <si>
    <t>Durchschnittl. jährl. Erzeugte Strommenge [kWh]</t>
  </si>
  <si>
    <t>Kosten pro kWh Nennkapazität inkl. Montage</t>
  </si>
  <si>
    <t>jährliche Rendite</t>
  </si>
  <si>
    <t>Jährlicher Gewinn</t>
  </si>
  <si>
    <t>Jahre</t>
  </si>
  <si>
    <t>Kosten Volleinspeisung</t>
  </si>
  <si>
    <t>Kosten Eigenverbrauch</t>
  </si>
  <si>
    <t>Kosten Speicher</t>
  </si>
  <si>
    <t>Einnahmen Volleinspeisung</t>
  </si>
  <si>
    <t>Einnahmen Eigenverbrauch</t>
  </si>
  <si>
    <t>Einnahmen Speicher</t>
  </si>
  <si>
    <t>Kostenberechnung</t>
  </si>
  <si>
    <t>Einnahmenberechnung</t>
  </si>
  <si>
    <t>Einfluss des Industriestrompreises auf die Amortisation</t>
  </si>
  <si>
    <t>Strompreis</t>
  </si>
  <si>
    <t>Amortisationszeit Volleinspeisung [Jahre]</t>
  </si>
  <si>
    <t>Amortisationszeit Eigenverbrauch [Jahre]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</si>
</sst>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6" formatCode="#,##0\ &quot;€&quot;;[Red]\-#,##0\ &quot;€&quot;"/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#,##0.00\ &quot;€&quot;"/>
    <numFmt numFmtId="165" formatCode="_-* #,##0.000\ &quot;€&quot;_-;\-* #,##0.000\ &quot;€&quot;_-;_-* &quot;-&quot;??\ &quot;€&quot;_-;_-@_-"/>
    <numFmt numFmtId="166" formatCode="0.0%"/>
    <numFmt numFmtId="167" formatCode="_-* #,##0.0000\ &quot;€&quot;_-;\-* #,##0.0000\ &quot;€&quot;_-;_-* &quot;-&quot;??\ &quot;€&quot;_-;_-@_-"/>
    <numFmt numFmtId="168" formatCode="_-* #,##0\ &quot;€&quot;_-;\-* #,##0\ &quot;€&quot;_-;_-* &quot;-&quot;?\ &quot;€&quot;_-;_-@_-"/>
    <numFmt numFmtId="169" formatCode="_-* #,##0.000\ &quot;€&quot;_-;\-* #,##0.000\ &quot;€&quot;_-;_-* &quot;-&quot;???\ &quot;€&quot;_-;_-@_-"/>
    <numFmt numFmtId="170" formatCode="_-* #,##0.00000\ &quot;€&quot;_-;\-* #,##0.00000\ &quot;€&quot;_-;_-* &quot;-&quot;??\ &quot;€&quot;_-;_-@_-"/>
    <numFmt numFmtId="171" formatCode="_-* #,##0\ &quot;€&quot;_-;\-* #,##0\ &quot;€&quot;_-;_-* &quot;-&quot;??\ &quot;€&quot;_-;_-@_-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/>
      <bottom/>
      <diagonal/>
    </border>
  </borders>
  <cellStyleXfs count="4">
    <xf numFmtId="0" fontId="0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117">
    <xf numFmtId="0" fontId="0" fillId="0" borderId="0" xfId="0"/>
    <xf numFmtId="6" fontId="0" fillId="0" borderId="0" xfId="0" applyNumberFormat="1"/>
    <xf numFmtId="2" fontId="0" fillId="0" borderId="0" xfId="0" applyNumberFormat="1"/>
    <xf numFmtId="164" fontId="0" fillId="0" borderId="0" xfId="0" applyNumberFormat="1"/>
    <xf numFmtId="0" fontId="0" fillId="0" borderId="0" xfId="0" applyBorder="1"/>
    <xf numFmtId="2" fontId="1" fillId="0" borderId="0" xfId="0" applyNumberFormat="1" applyFont="1" applyBorder="1"/>
    <xf numFmtId="44" fontId="0" fillId="0" borderId="0" xfId="0" applyNumberFormat="1"/>
    <xf numFmtId="0" fontId="0" fillId="0" borderId="0" xfId="0" applyAlignment="1"/>
    <xf numFmtId="44" fontId="0" fillId="0" borderId="0" xfId="1" applyFont="1" applyBorder="1"/>
    <xf numFmtId="169" fontId="0" fillId="0" borderId="0" xfId="0" applyNumberFormat="1" applyBorder="1"/>
    <xf numFmtId="0" fontId="1" fillId="10" borderId="0" xfId="0" applyFont="1" applyFill="1" applyBorder="1" applyAlignment="1">
      <alignment horizontal="center"/>
    </xf>
    <xf numFmtId="171" fontId="0" fillId="0" borderId="4" xfId="0" applyNumberFormat="1" applyFont="1" applyFill="1" applyBorder="1" applyAlignment="1">
      <alignment horizontal="right"/>
    </xf>
    <xf numFmtId="171" fontId="0" fillId="0" borderId="1" xfId="0" applyNumberFormat="1" applyFont="1" applyFill="1" applyBorder="1" applyAlignment="1">
      <alignment horizontal="right"/>
    </xf>
    <xf numFmtId="44" fontId="0" fillId="0" borderId="1" xfId="0" applyNumberFormat="1" applyBorder="1"/>
    <xf numFmtId="44" fontId="0" fillId="0" borderId="4" xfId="0" applyNumberFormat="1" applyBorder="1"/>
    <xf numFmtId="44" fontId="0" fillId="0" borderId="4" xfId="0" applyNumberFormat="1" applyFont="1" applyFill="1" applyBorder="1" applyAlignment="1">
      <alignment horizontal="right"/>
    </xf>
    <xf numFmtId="44" fontId="0" fillId="0" borderId="5" xfId="0" applyNumberFormat="1" applyBorder="1"/>
    <xf numFmtId="44" fontId="0" fillId="0" borderId="6" xfId="0" applyNumberFormat="1" applyBorder="1"/>
    <xf numFmtId="44" fontId="0" fillId="0" borderId="7" xfId="0" applyNumberFormat="1" applyBorder="1"/>
    <xf numFmtId="44" fontId="0" fillId="0" borderId="8" xfId="0" applyNumberFormat="1" applyBorder="1"/>
    <xf numFmtId="169" fontId="0" fillId="0" borderId="5" xfId="0" applyNumberFormat="1" applyBorder="1"/>
    <xf numFmtId="169" fontId="0" fillId="0" borderId="9" xfId="0" applyNumberFormat="1" applyBorder="1"/>
    <xf numFmtId="0" fontId="0" fillId="0" borderId="10" xfId="0" applyBorder="1"/>
    <xf numFmtId="171" fontId="0" fillId="0" borderId="8" xfId="0" applyNumberFormat="1" applyFont="1" applyFill="1" applyBorder="1" applyAlignment="1">
      <alignment horizontal="right"/>
    </xf>
    <xf numFmtId="44" fontId="0" fillId="0" borderId="8" xfId="0" applyNumberFormat="1" applyFont="1" applyFill="1" applyBorder="1" applyAlignment="1">
      <alignment horizontal="right"/>
    </xf>
    <xf numFmtId="44" fontId="0" fillId="0" borderId="9" xfId="0" applyNumberFormat="1" applyBorder="1"/>
    <xf numFmtId="0" fontId="1" fillId="7" borderId="14" xfId="0" applyFont="1" applyFill="1" applyBorder="1" applyAlignment="1">
      <alignment horizontal="center"/>
    </xf>
    <xf numFmtId="6" fontId="1" fillId="7" borderId="15" xfId="0" applyNumberFormat="1" applyFont="1" applyFill="1" applyBorder="1" applyAlignment="1">
      <alignment horizontal="center"/>
    </xf>
    <xf numFmtId="0" fontId="1" fillId="7" borderId="16" xfId="0" applyFont="1" applyFill="1" applyBorder="1" applyAlignment="1">
      <alignment horizontal="center"/>
    </xf>
    <xf numFmtId="44" fontId="0" fillId="0" borderId="17" xfId="0" applyNumberFormat="1" applyBorder="1"/>
    <xf numFmtId="0" fontId="1" fillId="8" borderId="14" xfId="0" applyFont="1" applyFill="1" applyBorder="1" applyAlignment="1">
      <alignment horizontal="center"/>
    </xf>
    <xf numFmtId="44" fontId="0" fillId="0" borderId="1" xfId="1" applyFont="1" applyBorder="1"/>
    <xf numFmtId="0" fontId="1" fillId="8" borderId="15" xfId="0" applyFont="1" applyFill="1" applyBorder="1" applyAlignment="1">
      <alignment horizontal="center"/>
    </xf>
    <xf numFmtId="171" fontId="0" fillId="0" borderId="1" xfId="0" applyNumberFormat="1" applyFont="1" applyFill="1" applyBorder="1" applyAlignment="1">
      <alignment horizontal="center"/>
    </xf>
    <xf numFmtId="0" fontId="1" fillId="10" borderId="18" xfId="0" applyFont="1" applyFill="1" applyBorder="1" applyAlignment="1">
      <alignment horizontal="center"/>
    </xf>
    <xf numFmtId="0" fontId="1" fillId="10" borderId="19" xfId="0" applyFont="1" applyFill="1" applyBorder="1" applyAlignment="1">
      <alignment horizontal="center"/>
    </xf>
    <xf numFmtId="0" fontId="1" fillId="10" borderId="20" xfId="0" applyFont="1" applyFill="1" applyBorder="1" applyAlignment="1">
      <alignment horizontal="center"/>
    </xf>
    <xf numFmtId="44" fontId="0" fillId="0" borderId="21" xfId="1" applyFont="1" applyBorder="1"/>
    <xf numFmtId="2" fontId="0" fillId="0" borderId="22" xfId="0" applyNumberFormat="1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10" xfId="0" applyBorder="1" applyAlignment="1">
      <alignment horizontal="center"/>
    </xf>
    <xf numFmtId="169" fontId="1" fillId="10" borderId="14" xfId="0" applyNumberFormat="1" applyFont="1" applyFill="1" applyBorder="1" applyAlignment="1">
      <alignment horizontal="center"/>
    </xf>
    <xf numFmtId="44" fontId="1" fillId="10" borderId="15" xfId="1" applyFont="1" applyFill="1" applyBorder="1" applyAlignment="1">
      <alignment horizontal="center"/>
    </xf>
    <xf numFmtId="44" fontId="1" fillId="10" borderId="16" xfId="1" applyFont="1" applyFill="1" applyBorder="1" applyAlignment="1">
      <alignment horizontal="center"/>
    </xf>
    <xf numFmtId="164" fontId="0" fillId="0" borderId="24" xfId="0" applyNumberFormat="1" applyBorder="1" applyAlignment="1">
      <alignment horizontal="center"/>
    </xf>
    <xf numFmtId="164" fontId="0" fillId="0" borderId="23" xfId="0" applyNumberFormat="1" applyBorder="1" applyAlignment="1">
      <alignment horizontal="center"/>
    </xf>
    <xf numFmtId="164" fontId="0" fillId="0" borderId="27" xfId="0" applyNumberFormat="1" applyBorder="1" applyAlignment="1">
      <alignment horizontal="center"/>
    </xf>
    <xf numFmtId="2" fontId="0" fillId="0" borderId="26" xfId="0" applyNumberFormat="1" applyBorder="1" applyAlignment="1">
      <alignment horizontal="center"/>
    </xf>
    <xf numFmtId="2" fontId="0" fillId="0" borderId="28" xfId="0" applyNumberFormat="1" applyBorder="1" applyAlignment="1">
      <alignment horizontal="center"/>
    </xf>
    <xf numFmtId="2" fontId="0" fillId="0" borderId="29" xfId="0" applyNumberFormat="1" applyBorder="1" applyAlignment="1">
      <alignment horizontal="center"/>
    </xf>
    <xf numFmtId="0" fontId="0" fillId="3" borderId="30" xfId="0" applyFill="1" applyBorder="1"/>
    <xf numFmtId="1" fontId="1" fillId="4" borderId="31" xfId="0" applyNumberFormat="1" applyFont="1" applyFill="1" applyBorder="1"/>
    <xf numFmtId="165" fontId="1" fillId="4" borderId="31" xfId="1" applyNumberFormat="1" applyFont="1" applyFill="1" applyBorder="1"/>
    <xf numFmtId="9" fontId="1" fillId="4" borderId="31" xfId="3" applyFont="1" applyFill="1" applyBorder="1"/>
    <xf numFmtId="0" fontId="1" fillId="4" borderId="31" xfId="0" applyFont="1" applyFill="1" applyBorder="1"/>
    <xf numFmtId="0" fontId="1" fillId="3" borderId="31" xfId="0" applyFont="1" applyFill="1" applyBorder="1"/>
    <xf numFmtId="1" fontId="1" fillId="4" borderId="31" xfId="2" applyNumberFormat="1" applyFont="1" applyFill="1" applyBorder="1"/>
    <xf numFmtId="166" fontId="1" fillId="4" borderId="31" xfId="3" applyNumberFormat="1" applyFont="1" applyFill="1" applyBorder="1"/>
    <xf numFmtId="170" fontId="1" fillId="4" borderId="31" xfId="1" applyNumberFormat="1" applyFont="1" applyFill="1" applyBorder="1"/>
    <xf numFmtId="44" fontId="1" fillId="4" borderId="31" xfId="1" applyFont="1" applyFill="1" applyBorder="1"/>
    <xf numFmtId="0" fontId="1" fillId="4" borderId="31" xfId="0" applyFont="1" applyFill="1" applyBorder="1" applyAlignment="1">
      <alignment horizontal="center" vertical="center"/>
    </xf>
    <xf numFmtId="167" fontId="1" fillId="4" borderId="31" xfId="1" applyNumberFormat="1" applyFont="1" applyFill="1" applyBorder="1"/>
    <xf numFmtId="1" fontId="0" fillId="0" borderId="31" xfId="0" applyNumberFormat="1" applyBorder="1"/>
    <xf numFmtId="44" fontId="0" fillId="0" borderId="31" xfId="1" applyFont="1" applyBorder="1"/>
    <xf numFmtId="0" fontId="0" fillId="0" borderId="31" xfId="0" applyBorder="1"/>
    <xf numFmtId="165" fontId="0" fillId="0" borderId="31" xfId="1" applyNumberFormat="1" applyFont="1" applyBorder="1"/>
    <xf numFmtId="0" fontId="0" fillId="3" borderId="31" xfId="0" applyFill="1" applyBorder="1"/>
    <xf numFmtId="1" fontId="0" fillId="0" borderId="31" xfId="0" applyNumberFormat="1" applyBorder="1" applyAlignment="1">
      <alignment horizontal="right"/>
    </xf>
    <xf numFmtId="166" fontId="0" fillId="0" borderId="31" xfId="3" applyNumberFormat="1" applyFont="1" applyBorder="1"/>
    <xf numFmtId="2" fontId="0" fillId="0" borderId="31" xfId="0" applyNumberFormat="1" applyBorder="1"/>
    <xf numFmtId="170" fontId="0" fillId="0" borderId="31" xfId="1" applyNumberFormat="1" applyFont="1" applyBorder="1"/>
    <xf numFmtId="9" fontId="0" fillId="0" borderId="31" xfId="3" applyFont="1" applyBorder="1"/>
    <xf numFmtId="168" fontId="0" fillId="0" borderId="31" xfId="0" applyNumberFormat="1" applyBorder="1"/>
    <xf numFmtId="44" fontId="1" fillId="0" borderId="31" xfId="1" applyFont="1" applyBorder="1"/>
    <xf numFmtId="0" fontId="1" fillId="0" borderId="31" xfId="0" applyFont="1" applyBorder="1"/>
    <xf numFmtId="2" fontId="1" fillId="0" borderId="31" xfId="0" applyNumberFormat="1" applyFont="1" applyBorder="1"/>
    <xf numFmtId="10" fontId="1" fillId="0" borderId="31" xfId="3" applyNumberFormat="1" applyFont="1" applyBorder="1"/>
    <xf numFmtId="0" fontId="0" fillId="0" borderId="32" xfId="0" applyBorder="1"/>
    <xf numFmtId="0" fontId="1" fillId="4" borderId="33" xfId="0" applyFont="1" applyFill="1" applyBorder="1" applyAlignment="1">
      <alignment horizontal="center"/>
    </xf>
    <xf numFmtId="0" fontId="1" fillId="0" borderId="33" xfId="0" applyFont="1" applyBorder="1" applyAlignment="1">
      <alignment horizontal="center"/>
    </xf>
    <xf numFmtId="0" fontId="1" fillId="0" borderId="34" xfId="0" applyFont="1" applyBorder="1" applyAlignment="1">
      <alignment horizontal="center"/>
    </xf>
    <xf numFmtId="0" fontId="1" fillId="3" borderId="35" xfId="0" applyFont="1" applyFill="1" applyBorder="1"/>
    <xf numFmtId="0" fontId="0" fillId="0" borderId="36" xfId="0" applyBorder="1"/>
    <xf numFmtId="0" fontId="1" fillId="3" borderId="36" xfId="0" applyFont="1" applyFill="1" applyBorder="1"/>
    <xf numFmtId="0" fontId="0" fillId="0" borderId="36" xfId="0" applyFont="1" applyFill="1" applyBorder="1"/>
    <xf numFmtId="0" fontId="1" fillId="0" borderId="36" xfId="0" applyFont="1" applyFill="1" applyBorder="1"/>
    <xf numFmtId="0" fontId="1" fillId="0" borderId="37" xfId="0" applyFont="1" applyFill="1" applyBorder="1"/>
    <xf numFmtId="0" fontId="0" fillId="5" borderId="38" xfId="0" applyFill="1" applyBorder="1"/>
    <xf numFmtId="10" fontId="1" fillId="0" borderId="38" xfId="3" applyNumberFormat="1" applyFont="1" applyBorder="1"/>
    <xf numFmtId="0" fontId="0" fillId="0" borderId="22" xfId="0" applyBorder="1" applyAlignment="1"/>
    <xf numFmtId="0" fontId="0" fillId="0" borderId="22" xfId="0" applyBorder="1"/>
    <xf numFmtId="0" fontId="1" fillId="2" borderId="33" xfId="0" applyFont="1" applyFill="1" applyBorder="1" applyAlignment="1">
      <alignment horizontal="center"/>
    </xf>
    <xf numFmtId="0" fontId="0" fillId="3" borderId="39" xfId="0" applyFill="1" applyBorder="1"/>
    <xf numFmtId="1" fontId="0" fillId="0" borderId="22" xfId="0" applyNumberFormat="1" applyBorder="1"/>
    <xf numFmtId="44" fontId="0" fillId="0" borderId="22" xfId="1" applyFont="1" applyBorder="1"/>
    <xf numFmtId="165" fontId="0" fillId="0" borderId="22" xfId="1" applyNumberFormat="1" applyFont="1" applyBorder="1"/>
    <xf numFmtId="0" fontId="0" fillId="3" borderId="22" xfId="0" applyFill="1" applyBorder="1"/>
    <xf numFmtId="1" fontId="0" fillId="0" borderId="22" xfId="0" applyNumberFormat="1" applyBorder="1" applyAlignment="1">
      <alignment horizontal="right"/>
    </xf>
    <xf numFmtId="166" fontId="0" fillId="0" borderId="22" xfId="3" applyNumberFormat="1" applyFont="1" applyBorder="1"/>
    <xf numFmtId="2" fontId="0" fillId="0" borderId="22" xfId="0" applyNumberFormat="1" applyBorder="1"/>
    <xf numFmtId="170" fontId="0" fillId="0" borderId="22" xfId="1" applyNumberFormat="1" applyFont="1" applyBorder="1"/>
    <xf numFmtId="9" fontId="0" fillId="0" borderId="22" xfId="3" applyFont="1" applyBorder="1"/>
    <xf numFmtId="168" fontId="0" fillId="0" borderId="22" xfId="0" applyNumberFormat="1" applyBorder="1"/>
    <xf numFmtId="44" fontId="1" fillId="0" borderId="22" xfId="1" applyFont="1" applyBorder="1"/>
    <xf numFmtId="10" fontId="1" fillId="0" borderId="22" xfId="3" applyNumberFormat="1" applyFont="1" applyBorder="1"/>
    <xf numFmtId="2" fontId="1" fillId="0" borderId="22" xfId="0" applyNumberFormat="1" applyFont="1" applyBorder="1"/>
    <xf numFmtId="10" fontId="1" fillId="0" borderId="10" xfId="3" applyNumberFormat="1" applyFont="1" applyBorder="1"/>
    <xf numFmtId="0" fontId="0" fillId="0" borderId="40" xfId="0" applyBorder="1"/>
    <xf numFmtId="0" fontId="3" fillId="6" borderId="11" xfId="0" applyFont="1" applyFill="1" applyBorder="1" applyAlignment="1">
      <alignment horizontal="center"/>
    </xf>
    <xf numFmtId="0" fontId="3" fillId="6" borderId="12" xfId="0" applyFont="1" applyFill="1" applyBorder="1" applyAlignment="1">
      <alignment horizontal="center"/>
    </xf>
    <xf numFmtId="0" fontId="3" fillId="6" borderId="13" xfId="0" applyFont="1" applyFill="1" applyBorder="1" applyAlignment="1">
      <alignment horizontal="center"/>
    </xf>
    <xf numFmtId="0" fontId="3" fillId="9" borderId="11" xfId="0" applyFont="1" applyFill="1" applyBorder="1" applyAlignment="1">
      <alignment horizontal="center"/>
    </xf>
    <xf numFmtId="0" fontId="3" fillId="9" borderId="12" xfId="0" applyFont="1" applyFill="1" applyBorder="1" applyAlignment="1">
      <alignment horizontal="center"/>
    </xf>
    <xf numFmtId="0" fontId="3" fillId="9" borderId="13" xfId="0" applyFont="1" applyFill="1" applyBorder="1" applyAlignment="1">
      <alignment horizontal="center"/>
    </xf>
    <xf numFmtId="44" fontId="3" fillId="6" borderId="25" xfId="1" applyFont="1" applyFill="1" applyBorder="1" applyAlignment="1">
      <alignment horizontal="center"/>
    </xf>
    <xf numFmtId="44" fontId="3" fillId="6" borderId="2" xfId="1" applyFont="1" applyFill="1" applyBorder="1" applyAlignment="1">
      <alignment horizontal="center"/>
    </xf>
    <xf numFmtId="44" fontId="3" fillId="6" borderId="3" xfId="1" applyFont="1" applyFill="1" applyBorder="1" applyAlignment="1">
      <alignment horizontal="center"/>
    </xf>
  </cellXfs>
  <cellStyles count="4">
    <cellStyle name="Komma" xfId="2" builtinId="3"/>
    <cellStyle name="Prozent" xfId="3" builtinId="5"/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tx>
            <c:v>Volleinspeisung</c:v>
          </c:tx>
          <c:spPr>
            <a:ln w="19050" cap="rnd">
              <a:solidFill>
                <a:srgbClr val="FF0000">
                  <a:alpha val="92000"/>
                </a:srgb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>
                    <a:alpha val="92000"/>
                  </a:srgbClr>
                </a:solidFill>
              </a:ln>
              <a:effectLst/>
            </c:spPr>
          </c:marker>
          <c:xVal>
            <c:numRef>
              <c:f>'Einspeisung und EV'!$G$29:$G$40</c:f>
              <c:numCache>
                <c:formatCode>#,##0.00\ "€"</c:formatCode>
                <c:ptCount val="12"/>
                <c:pt idx="0">
                  <c:v>0.08</c:v>
                </c:pt>
                <c:pt idx="1">
                  <c:v>0.1</c:v>
                </c:pt>
                <c:pt idx="2">
                  <c:v>0.12</c:v>
                </c:pt>
                <c:pt idx="3">
                  <c:v>0.14000000000000001</c:v>
                </c:pt>
                <c:pt idx="4">
                  <c:v>0.16</c:v>
                </c:pt>
                <c:pt idx="5">
                  <c:v>0.18</c:v>
                </c:pt>
                <c:pt idx="6">
                  <c:v>0.2</c:v>
                </c:pt>
                <c:pt idx="7">
                  <c:v>0.22</c:v>
                </c:pt>
                <c:pt idx="8">
                  <c:v>0.24</c:v>
                </c:pt>
                <c:pt idx="9">
                  <c:v>0.26</c:v>
                </c:pt>
                <c:pt idx="10">
                  <c:v>0.28000000000000003</c:v>
                </c:pt>
                <c:pt idx="11">
                  <c:v>0.3</c:v>
                </c:pt>
              </c:numCache>
            </c:numRef>
          </c:xVal>
          <c:yVal>
            <c:numRef>
              <c:f>'Einspeisung und EV'!$H$29:$H$40</c:f>
              <c:numCache>
                <c:formatCode>0.00</c:formatCode>
                <c:ptCount val="12"/>
                <c:pt idx="0">
                  <c:v>14.901200063002088</c:v>
                </c:pt>
                <c:pt idx="1">
                  <c:v>14.901200063002088</c:v>
                </c:pt>
                <c:pt idx="2">
                  <c:v>14.901200063002088</c:v>
                </c:pt>
                <c:pt idx="3">
                  <c:v>14.901200063002088</c:v>
                </c:pt>
                <c:pt idx="4">
                  <c:v>14.901200063002088</c:v>
                </c:pt>
                <c:pt idx="5">
                  <c:v>14.901200063002088</c:v>
                </c:pt>
                <c:pt idx="6">
                  <c:v>14.901200063002088</c:v>
                </c:pt>
                <c:pt idx="7">
                  <c:v>14.901200063002088</c:v>
                </c:pt>
                <c:pt idx="8">
                  <c:v>14.901200063002088</c:v>
                </c:pt>
                <c:pt idx="9">
                  <c:v>14.901200063002088</c:v>
                </c:pt>
                <c:pt idx="10">
                  <c:v>14.901200063002088</c:v>
                </c:pt>
                <c:pt idx="11">
                  <c:v>14.901200063002088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CB67-405D-9581-13708A054C87}"/>
            </c:ext>
          </c:extLst>
        </c:ser>
        <c:ser>
          <c:idx val="1"/>
          <c:order val="1"/>
          <c:tx>
            <c:v>Eigenverbrauch 60 %</c:v>
          </c:tx>
          <c:spPr>
            <a:ln w="19050" cap="rnd">
              <a:solidFill>
                <a:schemeClr val="accent1">
                  <a:lumMod val="5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50000"/>
                </a:schemeClr>
              </a:solidFill>
              <a:ln w="9525">
                <a:solidFill>
                  <a:schemeClr val="accent1">
                    <a:lumMod val="50000"/>
                  </a:schemeClr>
                </a:solidFill>
              </a:ln>
              <a:effectLst/>
            </c:spPr>
          </c:marker>
          <c:xVal>
            <c:numRef>
              <c:f>'Einspeisung und EV'!$G$29:$G$40</c:f>
              <c:numCache>
                <c:formatCode>#,##0.00\ "€"</c:formatCode>
                <c:ptCount val="12"/>
                <c:pt idx="0">
                  <c:v>0.08</c:v>
                </c:pt>
                <c:pt idx="1">
                  <c:v>0.1</c:v>
                </c:pt>
                <c:pt idx="2">
                  <c:v>0.12</c:v>
                </c:pt>
                <c:pt idx="3">
                  <c:v>0.14000000000000001</c:v>
                </c:pt>
                <c:pt idx="4">
                  <c:v>0.16</c:v>
                </c:pt>
                <c:pt idx="5">
                  <c:v>0.18</c:v>
                </c:pt>
                <c:pt idx="6">
                  <c:v>0.2</c:v>
                </c:pt>
                <c:pt idx="7">
                  <c:v>0.22</c:v>
                </c:pt>
                <c:pt idx="8">
                  <c:v>0.24</c:v>
                </c:pt>
                <c:pt idx="9">
                  <c:v>0.26</c:v>
                </c:pt>
                <c:pt idx="10">
                  <c:v>0.28000000000000003</c:v>
                </c:pt>
                <c:pt idx="11">
                  <c:v>0.3</c:v>
                </c:pt>
              </c:numCache>
            </c:numRef>
          </c:xVal>
          <c:yVal>
            <c:numRef>
              <c:f>'Einspeisung und EV'!$I$29:$I$40</c:f>
              <c:numCache>
                <c:formatCode>0.00</c:formatCode>
                <c:ptCount val="12"/>
                <c:pt idx="0">
                  <c:v>50.012080631819536</c:v>
                </c:pt>
                <c:pt idx="1">
                  <c:v>29.15650597453811</c:v>
                </c:pt>
                <c:pt idx="2" formatCode="General">
                  <c:v>20.58</c:v>
                </c:pt>
                <c:pt idx="3" formatCode="General">
                  <c:v>15.9</c:v>
                </c:pt>
                <c:pt idx="4" formatCode="General">
                  <c:v>12.95</c:v>
                </c:pt>
                <c:pt idx="5" formatCode="General">
                  <c:v>10.93</c:v>
                </c:pt>
                <c:pt idx="6" formatCode="General">
                  <c:v>9.4499999999999993</c:v>
                </c:pt>
                <c:pt idx="7" formatCode="General">
                  <c:v>8.33</c:v>
                </c:pt>
                <c:pt idx="8" formatCode="General">
                  <c:v>7.44</c:v>
                </c:pt>
                <c:pt idx="9" formatCode="General">
                  <c:v>6.72</c:v>
                </c:pt>
                <c:pt idx="10" formatCode="General">
                  <c:v>6.13</c:v>
                </c:pt>
                <c:pt idx="11" formatCode="General">
                  <c:v>5.64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CB67-405D-9581-13708A054C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9124736"/>
        <c:axId val="210630144"/>
      </c:scatterChart>
      <c:valAx>
        <c:axId val="209124736"/>
        <c:scaling>
          <c:orientation val="minMax"/>
          <c:max val="0.30000000000000004"/>
          <c:min val="8.0000000000000016E-2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\ &quot;€&quot;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210630144"/>
        <c:crosses val="autoZero"/>
        <c:crossBetween val="midCat"/>
        <c:majorUnit val="2.0000000000000004E-2"/>
      </c:valAx>
      <c:valAx>
        <c:axId val="210630144"/>
        <c:scaling>
          <c:orientation val="minMax"/>
          <c:max val="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209124736"/>
        <c:crosses val="autoZero"/>
        <c:crossBetween val="midCat"/>
        <c:majorUnit val="5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0</xdr:colOff>
      <xdr:row>78</xdr:row>
      <xdr:rowOff>0</xdr:rowOff>
    </xdr:from>
    <xdr:ext cx="65" cy="172227"/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943600" y="20716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de-DE" sz="1100"/>
        </a:p>
      </xdr:txBody>
    </xdr:sp>
    <xdr:clientData/>
  </xdr:oneCellAnchor>
  <xdr:twoCellAnchor>
    <xdr:from>
      <xdr:col>4</xdr:col>
      <xdr:colOff>981075</xdr:colOff>
      <xdr:row>57</xdr:row>
      <xdr:rowOff>42862</xdr:rowOff>
    </xdr:from>
    <xdr:to>
      <xdr:col>7</xdr:col>
      <xdr:colOff>1600200</xdr:colOff>
      <xdr:row>71</xdr:row>
      <xdr:rowOff>119062</xdr:rowOff>
    </xdr:to>
    <xdr:graphicFrame macro="">
      <xdr:nvGraphicFramePr>
        <xdr:cNvPr id="4" name="Diagramm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0.28197</cdr:x>
      <cdr:y>0.32813</cdr:y>
    </cdr:from>
    <cdr:to>
      <cdr:x>0.64253</cdr:x>
      <cdr:y>0.49479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1743075" y="900113"/>
          <a:ext cx="2228850" cy="457200"/>
        </a:xfrm>
        <a:prstGeom xmlns:a="http://schemas.openxmlformats.org/drawingml/2006/main" prst="rect">
          <a:avLst/>
        </a:prstGeom>
        <a:solidFill xmlns:a="http://schemas.openxmlformats.org/drawingml/2006/main">
          <a:schemeClr val="tx2">
            <a:lumMod val="20000"/>
            <a:lumOff val="80000"/>
          </a:schemeClr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de-DE" sz="1100">
              <a:latin typeface="Arial" panose="020B0604020202020204" pitchFamily="34" charset="0"/>
              <a:cs typeface="Arial" panose="020B0604020202020204" pitchFamily="34" charset="0"/>
            </a:rPr>
            <a:t>X: Strombezugspreis</a:t>
          </a:r>
          <a:r>
            <a:rPr lang="de-DE" sz="1100" baseline="0">
              <a:latin typeface="Arial" panose="020B0604020202020204" pitchFamily="34" charset="0"/>
              <a:cs typeface="Arial" panose="020B0604020202020204" pitchFamily="34" charset="0"/>
            </a:rPr>
            <a:t> pro kWh</a:t>
          </a:r>
        </a:p>
        <a:p xmlns:a="http://schemas.openxmlformats.org/drawingml/2006/main">
          <a:r>
            <a:rPr lang="de-DE" sz="1100" baseline="0">
              <a:latin typeface="Arial" panose="020B0604020202020204" pitchFamily="34" charset="0"/>
              <a:cs typeface="Arial" panose="020B0604020202020204" pitchFamily="34" charset="0"/>
            </a:rPr>
            <a:t>Y: Amortisationzeit in Jahren</a:t>
          </a:r>
          <a:endParaRPr lang="de-DE" sz="11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55"/>
  <sheetViews>
    <sheetView tabSelected="1" topLeftCell="A43" workbookViewId="0">
      <selection activeCell="H4" sqref="H4"/>
    </sheetView>
  </sheetViews>
  <sheetFormatPr baseColWidth="10" defaultRowHeight="15" outlineLevelCol="1" x14ac:dyDescent="0.25"/>
  <cols>
    <col min="1" max="1" width="52" customWidth="1" outlineLevel="1"/>
    <col min="2" max="2" width="12.5703125" customWidth="1"/>
    <col min="3" max="3" width="37.85546875" customWidth="1" outlineLevel="1"/>
    <col min="4" max="4" width="26.140625" customWidth="1"/>
    <col min="5" max="5" width="24.7109375" customWidth="1"/>
    <col min="6" max="6" width="37.140625" customWidth="1"/>
    <col min="7" max="7" width="18.42578125" customWidth="1"/>
    <col min="8" max="8" width="39.28515625" customWidth="1"/>
    <col min="9" max="9" width="38.5703125" customWidth="1"/>
    <col min="10" max="10" width="29.7109375" customWidth="1"/>
    <col min="11" max="11" width="28.5703125" customWidth="1"/>
    <col min="12" max="12" width="25.5703125" customWidth="1"/>
    <col min="13" max="13" width="26.42578125" customWidth="1"/>
    <col min="14" max="14" width="12.5703125" bestFit="1" customWidth="1"/>
    <col min="15" max="15" width="15" bestFit="1" customWidth="1"/>
  </cols>
  <sheetData>
    <row r="1" spans="1:15" ht="22.5" thickTop="1" thickBot="1" x14ac:dyDescent="0.4">
      <c r="A1" s="77"/>
      <c r="B1" s="78" t="s">
        <v>4</v>
      </c>
      <c r="C1" s="79" t="s">
        <v>1</v>
      </c>
      <c r="D1" s="80" t="s">
        <v>0</v>
      </c>
      <c r="E1" s="91" t="s">
        <v>2</v>
      </c>
      <c r="F1" s="7"/>
      <c r="G1" s="22"/>
      <c r="H1" s="108" t="s">
        <v>60</v>
      </c>
      <c r="I1" s="109"/>
      <c r="J1" s="110"/>
      <c r="K1" s="111" t="s">
        <v>61</v>
      </c>
      <c r="L1" s="112"/>
      <c r="M1" s="113"/>
      <c r="O1" s="3"/>
    </row>
    <row r="2" spans="1:15" ht="16.5" thickTop="1" thickBot="1" x14ac:dyDescent="0.3">
      <c r="A2" s="81" t="s">
        <v>25</v>
      </c>
      <c r="B2" s="50"/>
      <c r="C2" s="50"/>
      <c r="D2" s="50"/>
      <c r="E2" s="92"/>
      <c r="F2" s="89"/>
      <c r="G2" s="10" t="s">
        <v>53</v>
      </c>
      <c r="H2" s="32" t="s">
        <v>54</v>
      </c>
      <c r="I2" s="32" t="s">
        <v>55</v>
      </c>
      <c r="J2" s="30" t="s">
        <v>56</v>
      </c>
      <c r="K2" s="28" t="s">
        <v>57</v>
      </c>
      <c r="L2" s="27" t="s">
        <v>58</v>
      </c>
      <c r="M2" s="26" t="s">
        <v>59</v>
      </c>
      <c r="O2" s="3"/>
    </row>
    <row r="3" spans="1:15" x14ac:dyDescent="0.25">
      <c r="A3" s="82" t="s">
        <v>26</v>
      </c>
      <c r="B3" s="51">
        <v>200000</v>
      </c>
      <c r="C3" s="62">
        <f>$B$3</f>
        <v>200000</v>
      </c>
      <c r="D3" s="62">
        <f>$B$3</f>
        <v>200000</v>
      </c>
      <c r="E3" s="93">
        <f>$B$3</f>
        <v>200000</v>
      </c>
      <c r="F3" s="89"/>
      <c r="G3" s="34">
        <v>0</v>
      </c>
      <c r="H3" s="33">
        <f>C28</f>
        <v>96000</v>
      </c>
      <c r="I3" s="31">
        <f>$B$10*$B$27</f>
        <v>96000</v>
      </c>
      <c r="J3" s="29">
        <f>E28+E33</f>
        <v>125000</v>
      </c>
      <c r="K3" s="13">
        <v>0</v>
      </c>
      <c r="L3" s="13">
        <v>0</v>
      </c>
      <c r="M3" s="17">
        <v>0</v>
      </c>
      <c r="O3" s="3"/>
    </row>
    <row r="4" spans="1:15" x14ac:dyDescent="0.25">
      <c r="A4" s="82" t="s">
        <v>47</v>
      </c>
      <c r="B4" s="52">
        <v>0.18</v>
      </c>
      <c r="C4" s="63">
        <f>$B$4</f>
        <v>0.18</v>
      </c>
      <c r="D4" s="63">
        <f>$B$4</f>
        <v>0.18</v>
      </c>
      <c r="E4" s="94">
        <f>$B$4</f>
        <v>0.18</v>
      </c>
      <c r="F4" s="90"/>
      <c r="G4" s="35">
        <v>1</v>
      </c>
      <c r="H4" s="11">
        <f>$C$28+G4*($C$37+$C$38+$C$39)</f>
        <v>97680</v>
      </c>
      <c r="I4" s="15">
        <f t="shared" ref="I4:I23" si="0">$I$3+G4*($D$25+$D$37+$D$38+$D$39)</f>
        <v>98933.594955690962</v>
      </c>
      <c r="J4" s="16">
        <f t="shared" ref="J4:J23" si="1">$J$3+G4*($E$25+$E$37+$E$38+$E$39+$E$43+$E$44+$E$45)</f>
        <v>128858.95994092127</v>
      </c>
      <c r="K4" s="14">
        <f>G4*$C$50</f>
        <v>8122.4341391373309</v>
      </c>
      <c r="L4" s="14">
        <f>G4*($D$50+($D$8-($D$24*$D$40+($D$3-$D$24)*$D$7)))</f>
        <v>11718.328066273054</v>
      </c>
      <c r="M4" s="20">
        <f>G4*($E$50+($E$8-($E$24*$E$40+($E$3-$E$24)*$E$7)))</f>
        <v>12916.9593753183</v>
      </c>
      <c r="O4" s="3"/>
    </row>
    <row r="5" spans="1:15" x14ac:dyDescent="0.25">
      <c r="A5" s="82" t="s">
        <v>38</v>
      </c>
      <c r="B5" s="53">
        <v>0.03</v>
      </c>
      <c r="C5" s="64"/>
      <c r="D5" s="64"/>
      <c r="E5" s="90"/>
      <c r="F5" s="90"/>
      <c r="G5" s="35">
        <v>2</v>
      </c>
      <c r="H5" s="11">
        <f>$C$28+G5*($C$37+$C$38+$C$39)</f>
        <v>99360</v>
      </c>
      <c r="I5" s="15">
        <f t="shared" si="0"/>
        <v>101867.18991138191</v>
      </c>
      <c r="J5" s="16">
        <f t="shared" si="1"/>
        <v>132717.91988184254</v>
      </c>
      <c r="K5" s="14">
        <f t="shared" ref="K5:K23" si="2">G5*$C$50</f>
        <v>16244.868278274662</v>
      </c>
      <c r="L5" s="14">
        <f t="shared" ref="L5:L23" si="3">G5*($D$50+($D$8-($D$24*$D$40+($D$3-$D$24)*$D$7)))</f>
        <v>23436.656132546108</v>
      </c>
      <c r="M5" s="20">
        <f t="shared" ref="M5:M23" si="4">G5*($E$50+($E$8-($E$24*$E$40+($E$3-$E$24)*$E$7)))</f>
        <v>25833.9187506366</v>
      </c>
      <c r="O5" s="3"/>
    </row>
    <row r="6" spans="1:15" x14ac:dyDescent="0.25">
      <c r="A6" s="82" t="s">
        <v>29</v>
      </c>
      <c r="B6" s="54">
        <v>20</v>
      </c>
      <c r="C6" s="64"/>
      <c r="D6" s="64"/>
      <c r="E6" s="90"/>
      <c r="F6" s="90"/>
      <c r="G6" s="35">
        <v>3</v>
      </c>
      <c r="H6" s="12">
        <f>$C$28+G6*($C$37+$C$38+$C$39)</f>
        <v>101040</v>
      </c>
      <c r="I6" s="15">
        <f t="shared" si="0"/>
        <v>104800.78486707286</v>
      </c>
      <c r="J6" s="16">
        <f t="shared" si="1"/>
        <v>136576.87982276382</v>
      </c>
      <c r="K6" s="14">
        <f t="shared" si="2"/>
        <v>24367.302417411993</v>
      </c>
      <c r="L6" s="14">
        <f t="shared" si="3"/>
        <v>35154.984198819162</v>
      </c>
      <c r="M6" s="20">
        <f t="shared" si="4"/>
        <v>38750.8781259549</v>
      </c>
      <c r="O6" s="3"/>
    </row>
    <row r="7" spans="1:15" x14ac:dyDescent="0.25">
      <c r="A7" s="82" t="s">
        <v>39</v>
      </c>
      <c r="B7" s="54"/>
      <c r="C7" s="65">
        <f>(C4+C4*POWER(1+$B$5,$B$6))/2</f>
        <v>0.25255001112024722</v>
      </c>
      <c r="D7" s="65">
        <f t="shared" ref="D7:E7" si="5">(D4+D4*POWER(1+$B$5,$B$6))/2</f>
        <v>0.25255001112024722</v>
      </c>
      <c r="E7" s="95">
        <f t="shared" si="5"/>
        <v>0.25255001112024722</v>
      </c>
      <c r="F7" s="90"/>
      <c r="G7" s="35">
        <v>4</v>
      </c>
      <c r="H7" s="11">
        <f>$C$28+G7*($C$37+$C$38+$C$39)</f>
        <v>102720</v>
      </c>
      <c r="I7" s="15">
        <f t="shared" si="0"/>
        <v>107734.37982276382</v>
      </c>
      <c r="J7" s="16">
        <f t="shared" si="1"/>
        <v>140435.8397636851</v>
      </c>
      <c r="K7" s="14">
        <f t="shared" si="2"/>
        <v>32489.736556549324</v>
      </c>
      <c r="L7" s="14">
        <f t="shared" si="3"/>
        <v>46873.312265092216</v>
      </c>
      <c r="M7" s="20">
        <f t="shared" si="4"/>
        <v>51667.837501273199</v>
      </c>
      <c r="O7" s="3"/>
    </row>
    <row r="8" spans="1:15" x14ac:dyDescent="0.25">
      <c r="A8" s="82" t="s">
        <v>48</v>
      </c>
      <c r="B8" s="54"/>
      <c r="C8" s="63">
        <f>C7*C3</f>
        <v>50510.002224049444</v>
      </c>
      <c r="D8" s="63">
        <f t="shared" ref="D8:E8" si="6">D7*D3</f>
        <v>50510.002224049444</v>
      </c>
      <c r="E8" s="94">
        <f t="shared" si="6"/>
        <v>50510.002224049444</v>
      </c>
      <c r="F8" s="90"/>
      <c r="G8" s="35">
        <v>5</v>
      </c>
      <c r="H8" s="11">
        <f t="shared" ref="H8:H23" si="7">$C$28+G8*($C$37+$C$38+$C$39)</f>
        <v>104400</v>
      </c>
      <c r="I8" s="15">
        <f t="shared" si="0"/>
        <v>110667.97477845478</v>
      </c>
      <c r="J8" s="16">
        <f t="shared" si="1"/>
        <v>144294.79970460635</v>
      </c>
      <c r="K8" s="14">
        <f t="shared" si="2"/>
        <v>40612.170695686655</v>
      </c>
      <c r="L8" s="14">
        <f t="shared" si="3"/>
        <v>58591.64033136527</v>
      </c>
      <c r="M8" s="20">
        <f t="shared" si="4"/>
        <v>64584.796876591499</v>
      </c>
      <c r="O8" s="3"/>
    </row>
    <row r="9" spans="1:15" x14ac:dyDescent="0.25">
      <c r="A9" s="83" t="s">
        <v>14</v>
      </c>
      <c r="B9" s="55"/>
      <c r="C9" s="66"/>
      <c r="D9" s="66"/>
      <c r="E9" s="96"/>
      <c r="F9" s="90"/>
      <c r="G9" s="35">
        <v>6</v>
      </c>
      <c r="H9" s="11">
        <f t="shared" si="7"/>
        <v>106080</v>
      </c>
      <c r="I9" s="15">
        <f t="shared" si="0"/>
        <v>113601.56973414573</v>
      </c>
      <c r="J9" s="16">
        <f t="shared" si="1"/>
        <v>148153.75964552764</v>
      </c>
      <c r="K9" s="14">
        <f t="shared" si="2"/>
        <v>48734.604834823986</v>
      </c>
      <c r="L9" s="14">
        <f t="shared" si="3"/>
        <v>70309.968397638324</v>
      </c>
      <c r="M9" s="20">
        <f t="shared" si="4"/>
        <v>77501.756251909799</v>
      </c>
      <c r="O9" s="3"/>
    </row>
    <row r="10" spans="1:15" x14ac:dyDescent="0.25">
      <c r="A10" s="82" t="s">
        <v>16</v>
      </c>
      <c r="B10" s="56">
        <v>80</v>
      </c>
      <c r="C10" s="67">
        <f>$B$10</f>
        <v>80</v>
      </c>
      <c r="D10" s="67">
        <f>$B$10</f>
        <v>80</v>
      </c>
      <c r="E10" s="97">
        <f>$B$10</f>
        <v>80</v>
      </c>
      <c r="F10" s="90"/>
      <c r="G10" s="35">
        <v>7</v>
      </c>
      <c r="H10" s="11">
        <f t="shared" si="7"/>
        <v>107760</v>
      </c>
      <c r="I10" s="15">
        <f t="shared" si="0"/>
        <v>116535.16468983667</v>
      </c>
      <c r="J10" s="16">
        <f t="shared" si="1"/>
        <v>152012.71958644892</v>
      </c>
      <c r="K10" s="14">
        <f t="shared" si="2"/>
        <v>56857.038973961317</v>
      </c>
      <c r="L10" s="14">
        <f t="shared" si="3"/>
        <v>82028.296463911378</v>
      </c>
      <c r="M10" s="20">
        <f t="shared" si="4"/>
        <v>90418.715627228099</v>
      </c>
      <c r="O10" s="3"/>
    </row>
    <row r="11" spans="1:15" x14ac:dyDescent="0.25">
      <c r="A11" s="84" t="s">
        <v>11</v>
      </c>
      <c r="B11" s="57">
        <v>3.0000000000000001E-3</v>
      </c>
      <c r="C11" s="68">
        <f>$B$11</f>
        <v>3.0000000000000001E-3</v>
      </c>
      <c r="D11" s="68">
        <f>$B$11</f>
        <v>3.0000000000000001E-3</v>
      </c>
      <c r="E11" s="98">
        <f>$B$11</f>
        <v>3.0000000000000001E-3</v>
      </c>
      <c r="F11" s="90"/>
      <c r="G11" s="35">
        <v>8</v>
      </c>
      <c r="H11" s="11">
        <f t="shared" si="7"/>
        <v>109440</v>
      </c>
      <c r="I11" s="15">
        <f t="shared" si="0"/>
        <v>119468.75964552764</v>
      </c>
      <c r="J11" s="16">
        <f t="shared" si="1"/>
        <v>155871.67952737017</v>
      </c>
      <c r="K11" s="14">
        <f t="shared" si="2"/>
        <v>64979.473113098647</v>
      </c>
      <c r="L11" s="14">
        <f t="shared" si="3"/>
        <v>93746.624530184432</v>
      </c>
      <c r="M11" s="20">
        <f t="shared" si="4"/>
        <v>103335.6750025464</v>
      </c>
      <c r="O11" s="3"/>
    </row>
    <row r="12" spans="1:15" x14ac:dyDescent="0.25">
      <c r="A12" s="82" t="s">
        <v>15</v>
      </c>
      <c r="B12" s="54">
        <v>1050</v>
      </c>
      <c r="C12" s="64">
        <f>$B$12</f>
        <v>1050</v>
      </c>
      <c r="D12" s="64">
        <f>$B$12</f>
        <v>1050</v>
      </c>
      <c r="E12" s="90">
        <f>$B$12</f>
        <v>1050</v>
      </c>
      <c r="F12" s="90"/>
      <c r="G12" s="35">
        <v>9</v>
      </c>
      <c r="H12" s="11">
        <f t="shared" si="7"/>
        <v>111120</v>
      </c>
      <c r="I12" s="15">
        <f t="shared" si="0"/>
        <v>122402.3546012186</v>
      </c>
      <c r="J12" s="16">
        <f t="shared" si="1"/>
        <v>159730.63946829145</v>
      </c>
      <c r="K12" s="14">
        <f t="shared" si="2"/>
        <v>73101.907252235978</v>
      </c>
      <c r="L12" s="14">
        <f t="shared" si="3"/>
        <v>105464.95259645749</v>
      </c>
      <c r="M12" s="20">
        <f t="shared" si="4"/>
        <v>116252.6343778647</v>
      </c>
      <c r="O12" s="3"/>
    </row>
    <row r="13" spans="1:15" x14ac:dyDescent="0.25">
      <c r="A13" s="82" t="s">
        <v>49</v>
      </c>
      <c r="B13" s="54"/>
      <c r="C13" s="69">
        <f>(($B$10*$B$12)+($B$10*$B$12*POWER(0.997,$B$6)))/2</f>
        <v>81550.54356563586</v>
      </c>
      <c r="D13" s="69">
        <f t="shared" ref="D13:E13" si="8">(($B$10*$B$12)+($B$10*$B$12*POWER(0.997,$B$6)))/2</f>
        <v>81550.54356563586</v>
      </c>
      <c r="E13" s="99">
        <f t="shared" si="8"/>
        <v>81550.54356563586</v>
      </c>
      <c r="F13" s="90"/>
      <c r="G13" s="35">
        <v>10</v>
      </c>
      <c r="H13" s="11">
        <f t="shared" si="7"/>
        <v>112800</v>
      </c>
      <c r="I13" s="15">
        <f t="shared" si="0"/>
        <v>125335.94955690955</v>
      </c>
      <c r="J13" s="16">
        <f t="shared" si="1"/>
        <v>163589.59940921271</v>
      </c>
      <c r="K13" s="14">
        <f t="shared" si="2"/>
        <v>81224.341391373309</v>
      </c>
      <c r="L13" s="14">
        <f t="shared" si="3"/>
        <v>117183.28066273054</v>
      </c>
      <c r="M13" s="20">
        <f t="shared" si="4"/>
        <v>129169.593753183</v>
      </c>
      <c r="O13" s="3"/>
    </row>
    <row r="14" spans="1:15" x14ac:dyDescent="0.25">
      <c r="A14" s="84" t="s">
        <v>24</v>
      </c>
      <c r="B14" s="58">
        <v>6.4049999999999996E-2</v>
      </c>
      <c r="C14" s="70">
        <f>$B$14</f>
        <v>6.4049999999999996E-2</v>
      </c>
      <c r="D14" s="70">
        <f>$B$14</f>
        <v>6.4049999999999996E-2</v>
      </c>
      <c r="E14" s="100">
        <f>$B$14</f>
        <v>6.4049999999999996E-2</v>
      </c>
      <c r="F14" s="90"/>
      <c r="G14" s="35">
        <v>11</v>
      </c>
      <c r="H14" s="11">
        <f t="shared" si="7"/>
        <v>114480</v>
      </c>
      <c r="I14" s="15">
        <f t="shared" si="0"/>
        <v>128269.54451260049</v>
      </c>
      <c r="J14" s="16">
        <f t="shared" si="1"/>
        <v>167448.55935013399</v>
      </c>
      <c r="K14" s="14">
        <f t="shared" si="2"/>
        <v>89346.77553051064</v>
      </c>
      <c r="L14" s="14">
        <f t="shared" si="3"/>
        <v>128901.60872900359</v>
      </c>
      <c r="M14" s="20">
        <f t="shared" si="4"/>
        <v>142086.55312850128</v>
      </c>
      <c r="O14" s="3"/>
    </row>
    <row r="15" spans="1:15" x14ac:dyDescent="0.25">
      <c r="A15" s="83" t="s">
        <v>30</v>
      </c>
      <c r="B15" s="55"/>
      <c r="C15" s="66"/>
      <c r="D15" s="66"/>
      <c r="E15" s="96"/>
      <c r="F15" s="90"/>
      <c r="G15" s="35">
        <v>12</v>
      </c>
      <c r="H15" s="11">
        <f t="shared" si="7"/>
        <v>116160</v>
      </c>
      <c r="I15" s="15">
        <f t="shared" si="0"/>
        <v>131203.13946829145</v>
      </c>
      <c r="J15" s="16">
        <f t="shared" si="1"/>
        <v>171307.51929105527</v>
      </c>
      <c r="K15" s="14">
        <f t="shared" si="2"/>
        <v>97469.209669647971</v>
      </c>
      <c r="L15" s="14">
        <f t="shared" si="3"/>
        <v>140619.93679527665</v>
      </c>
      <c r="M15" s="20">
        <f t="shared" si="4"/>
        <v>155003.5125038196</v>
      </c>
      <c r="O15" s="3"/>
    </row>
    <row r="16" spans="1:15" x14ac:dyDescent="0.25">
      <c r="A16" s="84" t="s">
        <v>17</v>
      </c>
      <c r="B16" s="54">
        <v>20</v>
      </c>
      <c r="C16" s="64">
        <v>0</v>
      </c>
      <c r="D16" s="64">
        <v>0</v>
      </c>
      <c r="E16" s="90">
        <f>B16</f>
        <v>20</v>
      </c>
      <c r="F16" s="90"/>
      <c r="G16" s="35">
        <v>13</v>
      </c>
      <c r="H16" s="11">
        <f t="shared" si="7"/>
        <v>117840</v>
      </c>
      <c r="I16" s="15">
        <f t="shared" si="0"/>
        <v>134136.73442398242</v>
      </c>
      <c r="J16" s="16">
        <f t="shared" si="1"/>
        <v>175166.47923197655</v>
      </c>
      <c r="K16" s="14">
        <f t="shared" si="2"/>
        <v>105591.6438087853</v>
      </c>
      <c r="L16" s="14">
        <f t="shared" si="3"/>
        <v>152338.26486154972</v>
      </c>
      <c r="M16" s="20">
        <f t="shared" si="4"/>
        <v>167920.47187913791</v>
      </c>
      <c r="O16" s="3"/>
    </row>
    <row r="17" spans="1:15" x14ac:dyDescent="0.25">
      <c r="A17" s="84" t="s">
        <v>8</v>
      </c>
      <c r="B17" s="54">
        <v>7000</v>
      </c>
      <c r="C17" s="64">
        <v>0</v>
      </c>
      <c r="D17" s="64">
        <v>0</v>
      </c>
      <c r="E17" s="90">
        <f>$B$17</f>
        <v>7000</v>
      </c>
      <c r="F17" s="90"/>
      <c r="G17" s="35">
        <v>14</v>
      </c>
      <c r="H17" s="11">
        <f t="shared" si="7"/>
        <v>119520</v>
      </c>
      <c r="I17" s="15">
        <f t="shared" si="0"/>
        <v>137070.32937967335</v>
      </c>
      <c r="J17" s="16">
        <f t="shared" si="1"/>
        <v>179025.43917289781</v>
      </c>
      <c r="K17" s="14">
        <f t="shared" si="2"/>
        <v>113714.07794792263</v>
      </c>
      <c r="L17" s="14">
        <f t="shared" si="3"/>
        <v>164056.59292782276</v>
      </c>
      <c r="M17" s="20">
        <f t="shared" si="4"/>
        <v>180837.4312544562</v>
      </c>
      <c r="O17" s="3"/>
    </row>
    <row r="18" spans="1:15" x14ac:dyDescent="0.25">
      <c r="A18" s="84" t="s">
        <v>13</v>
      </c>
      <c r="B18" s="53">
        <v>0.9</v>
      </c>
      <c r="C18" s="64">
        <v>0</v>
      </c>
      <c r="D18" s="64">
        <v>0</v>
      </c>
      <c r="E18" s="101">
        <f>B18</f>
        <v>0.9</v>
      </c>
      <c r="F18" s="90"/>
      <c r="G18" s="35">
        <v>15</v>
      </c>
      <c r="H18" s="11">
        <f t="shared" si="7"/>
        <v>121200</v>
      </c>
      <c r="I18" s="15">
        <f t="shared" si="0"/>
        <v>140003.92433536431</v>
      </c>
      <c r="J18" s="16">
        <f t="shared" si="1"/>
        <v>182884.39911381909</v>
      </c>
      <c r="K18" s="14">
        <f t="shared" si="2"/>
        <v>121836.51208705996</v>
      </c>
      <c r="L18" s="14">
        <f t="shared" si="3"/>
        <v>175774.9209940958</v>
      </c>
      <c r="M18" s="20">
        <f t="shared" si="4"/>
        <v>193754.39062977448</v>
      </c>
      <c r="O18" s="3"/>
    </row>
    <row r="19" spans="1:15" x14ac:dyDescent="0.25">
      <c r="A19" s="84" t="s">
        <v>12</v>
      </c>
      <c r="B19" s="53">
        <v>0.95</v>
      </c>
      <c r="C19" s="64">
        <v>0</v>
      </c>
      <c r="D19" s="64">
        <v>0</v>
      </c>
      <c r="E19" s="101">
        <f>$B$19</f>
        <v>0.95</v>
      </c>
      <c r="F19" s="90"/>
      <c r="G19" s="35">
        <v>16</v>
      </c>
      <c r="H19" s="11">
        <f t="shared" si="7"/>
        <v>122880</v>
      </c>
      <c r="I19" s="15">
        <f t="shared" si="0"/>
        <v>142937.51929105527</v>
      </c>
      <c r="J19" s="16">
        <f t="shared" si="1"/>
        <v>186743.35905474034</v>
      </c>
      <c r="K19" s="14">
        <f t="shared" si="2"/>
        <v>129958.94622619729</v>
      </c>
      <c r="L19" s="14">
        <f t="shared" si="3"/>
        <v>187493.24906036886</v>
      </c>
      <c r="M19" s="20">
        <f t="shared" si="4"/>
        <v>206671.3500050928</v>
      </c>
      <c r="O19" s="3"/>
    </row>
    <row r="20" spans="1:15" x14ac:dyDescent="0.25">
      <c r="A20" s="84" t="s">
        <v>46</v>
      </c>
      <c r="B20" s="54">
        <v>20</v>
      </c>
      <c r="C20" s="64"/>
      <c r="D20" s="64"/>
      <c r="E20" s="90">
        <f>$B$20</f>
        <v>20</v>
      </c>
      <c r="F20" s="90"/>
      <c r="G20" s="35">
        <v>17</v>
      </c>
      <c r="H20" s="11">
        <f t="shared" si="7"/>
        <v>124560</v>
      </c>
      <c r="I20" s="15">
        <f t="shared" si="0"/>
        <v>145871.11424674623</v>
      </c>
      <c r="J20" s="16">
        <f t="shared" si="1"/>
        <v>190602.31899566163</v>
      </c>
      <c r="K20" s="14">
        <f t="shared" si="2"/>
        <v>138081.38036533463</v>
      </c>
      <c r="L20" s="14">
        <f t="shared" si="3"/>
        <v>199211.57712664193</v>
      </c>
      <c r="M20" s="20">
        <f t="shared" si="4"/>
        <v>219588.30938041111</v>
      </c>
      <c r="O20" s="3"/>
    </row>
    <row r="21" spans="1:15" x14ac:dyDescent="0.25">
      <c r="A21" s="84" t="s">
        <v>36</v>
      </c>
      <c r="B21" s="54"/>
      <c r="C21" s="64">
        <v>0</v>
      </c>
      <c r="D21" s="64">
        <v>0</v>
      </c>
      <c r="E21" s="90">
        <f>E16*E17*E18*E19</f>
        <v>119700</v>
      </c>
      <c r="F21" s="90"/>
      <c r="G21" s="35">
        <v>18</v>
      </c>
      <c r="H21" s="11">
        <f t="shared" si="7"/>
        <v>126240</v>
      </c>
      <c r="I21" s="15">
        <f t="shared" si="0"/>
        <v>148804.7092024372</v>
      </c>
      <c r="J21" s="16">
        <f t="shared" si="1"/>
        <v>194461.27893658291</v>
      </c>
      <c r="K21" s="14">
        <f t="shared" si="2"/>
        <v>146203.81450447196</v>
      </c>
      <c r="L21" s="14">
        <f t="shared" si="3"/>
        <v>210929.90519291497</v>
      </c>
      <c r="M21" s="20">
        <f t="shared" si="4"/>
        <v>232505.2687557294</v>
      </c>
      <c r="O21" s="3"/>
    </row>
    <row r="22" spans="1:15" x14ac:dyDescent="0.25">
      <c r="A22" s="83" t="s">
        <v>34</v>
      </c>
      <c r="B22" s="55"/>
      <c r="C22" s="66"/>
      <c r="D22" s="66"/>
      <c r="E22" s="96"/>
      <c r="F22" s="90"/>
      <c r="G22" s="35">
        <v>19</v>
      </c>
      <c r="H22" s="11">
        <f t="shared" si="7"/>
        <v>127920</v>
      </c>
      <c r="I22" s="15">
        <f t="shared" si="0"/>
        <v>151738.30415812813</v>
      </c>
      <c r="J22" s="16">
        <f t="shared" si="1"/>
        <v>198320.23887750419</v>
      </c>
      <c r="K22" s="14">
        <f t="shared" si="2"/>
        <v>154326.24864360929</v>
      </c>
      <c r="L22" s="14">
        <f t="shared" si="3"/>
        <v>222648.23325918801</v>
      </c>
      <c r="M22" s="20">
        <f t="shared" si="4"/>
        <v>245422.22813104768</v>
      </c>
    </row>
    <row r="23" spans="1:15" ht="15.75" thickBot="1" x14ac:dyDescent="0.3">
      <c r="A23" s="84" t="s">
        <v>28</v>
      </c>
      <c r="B23" s="53">
        <v>0.6</v>
      </c>
      <c r="C23" s="71">
        <v>0</v>
      </c>
      <c r="D23" s="71">
        <f>B23</f>
        <v>0.6</v>
      </c>
      <c r="E23" s="101">
        <v>0.8</v>
      </c>
      <c r="F23" s="90"/>
      <c r="G23" s="36">
        <v>20</v>
      </c>
      <c r="H23" s="23">
        <f t="shared" si="7"/>
        <v>129600</v>
      </c>
      <c r="I23" s="24">
        <f t="shared" si="0"/>
        <v>154671.89911381909</v>
      </c>
      <c r="J23" s="25">
        <f t="shared" si="1"/>
        <v>202179.19881842544</v>
      </c>
      <c r="K23" s="18">
        <f t="shared" si="2"/>
        <v>162448.68278274662</v>
      </c>
      <c r="L23" s="19">
        <f t="shared" si="3"/>
        <v>234366.56132546108</v>
      </c>
      <c r="M23" s="21">
        <f t="shared" si="4"/>
        <v>258339.187506366</v>
      </c>
      <c r="O23" s="3"/>
    </row>
    <row r="24" spans="1:15" ht="15.75" thickTop="1" x14ac:dyDescent="0.25">
      <c r="A24" s="84" t="s">
        <v>27</v>
      </c>
      <c r="B24" s="54"/>
      <c r="C24" s="64">
        <v>0</v>
      </c>
      <c r="D24" s="69">
        <f>$B$23*D13</f>
        <v>48930.326139381512</v>
      </c>
      <c r="E24" s="99">
        <f>$E$23*E13</f>
        <v>65240.43485250869</v>
      </c>
      <c r="G24" s="8"/>
      <c r="H24" s="37"/>
      <c r="I24" s="9"/>
      <c r="J24" s="6"/>
      <c r="L24" s="1"/>
      <c r="M24" s="2"/>
      <c r="O24" s="3"/>
    </row>
    <row r="25" spans="1:15" x14ac:dyDescent="0.25">
      <c r="A25" s="84" t="s">
        <v>43</v>
      </c>
      <c r="B25" s="54"/>
      <c r="C25" s="63">
        <v>0</v>
      </c>
      <c r="D25" s="63">
        <f>IF(D10&gt;10,D24*D14*0.4,0)</f>
        <v>1253.5949556909545</v>
      </c>
      <c r="E25" s="94">
        <f>IF(E10&gt;10,E24*E14*0.4,0)</f>
        <v>1671.4599409212726</v>
      </c>
      <c r="G25" s="8"/>
      <c r="H25" s="8"/>
      <c r="I25" s="9"/>
      <c r="J25" s="6"/>
      <c r="O25" s="3"/>
    </row>
    <row r="26" spans="1:15" ht="15.75" thickBot="1" x14ac:dyDescent="0.3">
      <c r="A26" s="83" t="s">
        <v>18</v>
      </c>
      <c r="B26" s="55"/>
      <c r="C26" s="66"/>
      <c r="D26" s="66"/>
      <c r="E26" s="96"/>
      <c r="G26" s="8"/>
      <c r="H26" s="8"/>
      <c r="I26" s="9"/>
      <c r="J26" s="6"/>
      <c r="O26" s="3"/>
    </row>
    <row r="27" spans="1:15" ht="21.75" thickBot="1" x14ac:dyDescent="0.4">
      <c r="A27" s="82" t="s">
        <v>44</v>
      </c>
      <c r="B27" s="59">
        <v>1200</v>
      </c>
      <c r="C27" s="63">
        <f>$B$27</f>
        <v>1200</v>
      </c>
      <c r="D27" s="63">
        <f>$B$27</f>
        <v>1200</v>
      </c>
      <c r="E27" s="94">
        <f>$B$27</f>
        <v>1200</v>
      </c>
      <c r="F27" s="4"/>
      <c r="G27" s="114" t="s">
        <v>62</v>
      </c>
      <c r="H27" s="115"/>
      <c r="I27" s="116"/>
      <c r="J27" s="6"/>
      <c r="O27" s="3"/>
    </row>
    <row r="28" spans="1:15" ht="15.75" thickBot="1" x14ac:dyDescent="0.3">
      <c r="A28" s="82" t="s">
        <v>45</v>
      </c>
      <c r="B28" s="54"/>
      <c r="C28" s="63">
        <f>$B$10*$B$27</f>
        <v>96000</v>
      </c>
      <c r="D28" s="63">
        <f>$B$10*$B$27</f>
        <v>96000</v>
      </c>
      <c r="E28" s="94">
        <f>$B$10*$B$27</f>
        <v>96000</v>
      </c>
      <c r="F28" s="90"/>
      <c r="G28" s="43" t="s">
        <v>63</v>
      </c>
      <c r="H28" s="42" t="s">
        <v>64</v>
      </c>
      <c r="I28" s="41" t="s">
        <v>65</v>
      </c>
      <c r="J28" s="6"/>
      <c r="O28" s="3"/>
    </row>
    <row r="29" spans="1:15" x14ac:dyDescent="0.25">
      <c r="A29" s="82" t="s">
        <v>9</v>
      </c>
      <c r="B29" s="53">
        <v>0.5</v>
      </c>
      <c r="C29" s="63">
        <f>C28*$B$29</f>
        <v>48000</v>
      </c>
      <c r="D29" s="63">
        <f>D28*$B$29</f>
        <v>48000</v>
      </c>
      <c r="E29" s="94">
        <f>E28*$B$29</f>
        <v>48000</v>
      </c>
      <c r="F29" s="90"/>
      <c r="G29" s="44">
        <v>0.08</v>
      </c>
      <c r="H29" s="47">
        <f t="shared" ref="H29:H40" si="9">$C$53</f>
        <v>14.901200063002088</v>
      </c>
      <c r="I29" s="38">
        <v>50.012080631819536</v>
      </c>
      <c r="O29" s="3"/>
    </row>
    <row r="30" spans="1:15" x14ac:dyDescent="0.25">
      <c r="A30" s="82" t="s">
        <v>10</v>
      </c>
      <c r="B30" s="53">
        <v>0.5</v>
      </c>
      <c r="C30" s="63">
        <f>C28*$B$30</f>
        <v>48000</v>
      </c>
      <c r="D30" s="63">
        <f>D28*$B$30</f>
        <v>48000</v>
      </c>
      <c r="E30" s="94">
        <f>E28*$B$30</f>
        <v>48000</v>
      </c>
      <c r="F30" s="90"/>
      <c r="G30" s="45">
        <v>0.1</v>
      </c>
      <c r="H30" s="48">
        <f t="shared" si="9"/>
        <v>14.901200063002088</v>
      </c>
      <c r="I30" s="38">
        <v>29.15650597453811</v>
      </c>
      <c r="O30" s="3"/>
    </row>
    <row r="31" spans="1:15" x14ac:dyDescent="0.25">
      <c r="A31" s="83" t="s">
        <v>19</v>
      </c>
      <c r="B31" s="55"/>
      <c r="C31" s="66"/>
      <c r="D31" s="66"/>
      <c r="E31" s="96"/>
      <c r="F31" s="90"/>
      <c r="G31" s="45">
        <v>0.12</v>
      </c>
      <c r="H31" s="48">
        <f t="shared" si="9"/>
        <v>14.901200063002088</v>
      </c>
      <c r="I31" s="39">
        <v>20.58</v>
      </c>
      <c r="O31" s="3"/>
    </row>
    <row r="32" spans="1:15" x14ac:dyDescent="0.25">
      <c r="A32" s="82" t="s">
        <v>50</v>
      </c>
      <c r="B32" s="59">
        <v>1450</v>
      </c>
      <c r="C32" s="63">
        <v>0</v>
      </c>
      <c r="D32" s="63">
        <v>0</v>
      </c>
      <c r="E32" s="94">
        <f>$B$32</f>
        <v>1450</v>
      </c>
      <c r="F32" s="90"/>
      <c r="G32" s="45">
        <v>0.14000000000000001</v>
      </c>
      <c r="H32" s="48">
        <f t="shared" si="9"/>
        <v>14.901200063002088</v>
      </c>
      <c r="I32" s="39">
        <v>15.9</v>
      </c>
      <c r="O32" s="3"/>
    </row>
    <row r="33" spans="1:15" x14ac:dyDescent="0.25">
      <c r="A33" s="84" t="s">
        <v>5</v>
      </c>
      <c r="B33" s="54"/>
      <c r="C33" s="63">
        <v>0</v>
      </c>
      <c r="D33" s="63">
        <v>0</v>
      </c>
      <c r="E33" s="94">
        <f>B32*B16</f>
        <v>29000</v>
      </c>
      <c r="F33" s="90"/>
      <c r="G33" s="45">
        <v>0.16</v>
      </c>
      <c r="H33" s="48">
        <f t="shared" si="9"/>
        <v>14.901200063002088</v>
      </c>
      <c r="I33" s="39">
        <v>12.95</v>
      </c>
      <c r="O33" s="3"/>
    </row>
    <row r="34" spans="1:15" x14ac:dyDescent="0.25">
      <c r="A34" s="84" t="s">
        <v>9</v>
      </c>
      <c r="B34" s="53">
        <v>0.5</v>
      </c>
      <c r="C34" s="63">
        <v>0</v>
      </c>
      <c r="D34" s="63">
        <v>0</v>
      </c>
      <c r="E34" s="94">
        <f>E33*$B$34</f>
        <v>14500</v>
      </c>
      <c r="F34" s="90"/>
      <c r="G34" s="45">
        <v>0.18</v>
      </c>
      <c r="H34" s="48">
        <f t="shared" si="9"/>
        <v>14.901200063002088</v>
      </c>
      <c r="I34" s="39">
        <v>10.93</v>
      </c>
      <c r="O34" s="3"/>
    </row>
    <row r="35" spans="1:15" x14ac:dyDescent="0.25">
      <c r="A35" s="84" t="s">
        <v>10</v>
      </c>
      <c r="B35" s="53">
        <v>0.5</v>
      </c>
      <c r="C35" s="63">
        <v>0</v>
      </c>
      <c r="D35" s="63">
        <v>0</v>
      </c>
      <c r="E35" s="94">
        <f>$B$35*E33</f>
        <v>14500</v>
      </c>
      <c r="F35" s="90"/>
      <c r="G35" s="45">
        <v>0.2</v>
      </c>
      <c r="H35" s="48">
        <f t="shared" si="9"/>
        <v>14.901200063002088</v>
      </c>
      <c r="I35" s="39">
        <v>9.4499999999999993</v>
      </c>
      <c r="O35" s="3"/>
    </row>
    <row r="36" spans="1:15" x14ac:dyDescent="0.25">
      <c r="A36" s="83" t="s">
        <v>31</v>
      </c>
      <c r="B36" s="55"/>
      <c r="C36" s="66"/>
      <c r="D36" s="66"/>
      <c r="E36" s="96"/>
      <c r="F36" s="90"/>
      <c r="G36" s="45">
        <v>0.22</v>
      </c>
      <c r="H36" s="48">
        <f t="shared" si="9"/>
        <v>14.901200063002088</v>
      </c>
      <c r="I36" s="39">
        <v>8.33</v>
      </c>
      <c r="O36" s="3"/>
    </row>
    <row r="37" spans="1:15" x14ac:dyDescent="0.25">
      <c r="A37" s="84" t="s">
        <v>20</v>
      </c>
      <c r="B37" s="57">
        <v>1.4999999999999999E-2</v>
      </c>
      <c r="C37" s="72">
        <f>C30*$B$37</f>
        <v>720</v>
      </c>
      <c r="D37" s="72">
        <f>D30*$B$37</f>
        <v>720</v>
      </c>
      <c r="E37" s="102">
        <f>E30*$B$37</f>
        <v>720</v>
      </c>
      <c r="F37" s="90"/>
      <c r="G37" s="45">
        <v>0.24</v>
      </c>
      <c r="H37" s="48">
        <f t="shared" si="9"/>
        <v>14.901200063002088</v>
      </c>
      <c r="I37" s="39">
        <v>7.44</v>
      </c>
      <c r="L37" s="3"/>
      <c r="M37" s="2"/>
      <c r="O37" s="3"/>
    </row>
    <row r="38" spans="1:15" x14ac:dyDescent="0.25">
      <c r="A38" s="84" t="s">
        <v>22</v>
      </c>
      <c r="B38" s="57">
        <v>5.0000000000000001E-3</v>
      </c>
      <c r="C38" s="72">
        <f>C28*$B$38</f>
        <v>480</v>
      </c>
      <c r="D38" s="72">
        <f>D28*$B$38</f>
        <v>480</v>
      </c>
      <c r="E38" s="102">
        <f>E28*$B$38</f>
        <v>480</v>
      </c>
      <c r="F38" s="90"/>
      <c r="G38" s="45">
        <v>0.26</v>
      </c>
      <c r="H38" s="48">
        <f t="shared" si="9"/>
        <v>14.901200063002088</v>
      </c>
      <c r="I38" s="39">
        <v>6.72</v>
      </c>
      <c r="O38" s="3"/>
    </row>
    <row r="39" spans="1:15" x14ac:dyDescent="0.25">
      <c r="A39" s="84" t="s">
        <v>23</v>
      </c>
      <c r="B39" s="57">
        <v>5.0000000000000001E-3</v>
      </c>
      <c r="C39" s="72">
        <f>C28*$B$39</f>
        <v>480</v>
      </c>
      <c r="D39" s="72">
        <f>D28*$B$39</f>
        <v>480</v>
      </c>
      <c r="E39" s="102">
        <f>E28*$B$39</f>
        <v>480</v>
      </c>
      <c r="F39" s="90"/>
      <c r="G39" s="45">
        <v>0.28000000000000003</v>
      </c>
      <c r="H39" s="48">
        <f t="shared" si="9"/>
        <v>14.901200063002088</v>
      </c>
      <c r="I39" s="39">
        <v>6.13</v>
      </c>
      <c r="O39" s="3"/>
    </row>
    <row r="40" spans="1:15" ht="15.75" thickBot="1" x14ac:dyDescent="0.3">
      <c r="A40" s="84" t="s">
        <v>7</v>
      </c>
      <c r="B40" s="60"/>
      <c r="C40" s="65">
        <f>(C28/$B$6+C37+C38+C39)/C13</f>
        <v>7.9459924074995025E-2</v>
      </c>
      <c r="D40" s="65">
        <f>(D28/$B$6+D37+D38+D39)/D13</f>
        <v>7.9459924074995025E-2</v>
      </c>
      <c r="E40" s="95">
        <f>(E28/$B$6+E37+E38+E39)/E13</f>
        <v>7.9459924074995025E-2</v>
      </c>
      <c r="F40" s="90"/>
      <c r="G40" s="46">
        <v>0.3</v>
      </c>
      <c r="H40" s="49">
        <f t="shared" si="9"/>
        <v>14.901200063002088</v>
      </c>
      <c r="I40" s="40">
        <v>5.64</v>
      </c>
      <c r="O40" s="3"/>
    </row>
    <row r="41" spans="1:15" ht="15.75" thickTop="1" x14ac:dyDescent="0.25">
      <c r="A41" s="84" t="s">
        <v>37</v>
      </c>
      <c r="B41" s="54"/>
      <c r="C41" s="63">
        <f>C3*C7</f>
        <v>50510.002224049444</v>
      </c>
      <c r="D41" s="63">
        <f>D24*D40+D7*(D3-D24)</f>
        <v>42040.647813431322</v>
      </c>
      <c r="E41" s="94">
        <f>E24*E40+E7*(E3-E24)</f>
        <v>39217.52967655861</v>
      </c>
      <c r="G41" s="8"/>
      <c r="H41" s="8"/>
      <c r="I41" s="9"/>
      <c r="J41" s="6"/>
      <c r="O41" s="3"/>
    </row>
    <row r="42" spans="1:15" x14ac:dyDescent="0.25">
      <c r="A42" s="83" t="s">
        <v>32</v>
      </c>
      <c r="B42" s="55"/>
      <c r="C42" s="66"/>
      <c r="D42" s="66"/>
      <c r="E42" s="96"/>
      <c r="G42" s="8"/>
      <c r="H42" s="8"/>
      <c r="I42" s="9"/>
      <c r="J42" s="6"/>
      <c r="O42" s="3"/>
    </row>
    <row r="43" spans="1:15" x14ac:dyDescent="0.25">
      <c r="A43" s="84" t="s">
        <v>21</v>
      </c>
      <c r="B43" s="57">
        <v>1.4999999999999999E-2</v>
      </c>
      <c r="C43" s="63">
        <v>0</v>
      </c>
      <c r="D43" s="65">
        <v>0</v>
      </c>
      <c r="E43" s="94">
        <f>$E$35*B43</f>
        <v>217.5</v>
      </c>
      <c r="G43" s="8"/>
      <c r="H43" s="8"/>
      <c r="I43" s="9"/>
      <c r="J43" s="6"/>
      <c r="O43" s="3"/>
    </row>
    <row r="44" spans="1:15" x14ac:dyDescent="0.25">
      <c r="A44" s="84" t="s">
        <v>22</v>
      </c>
      <c r="B44" s="57">
        <v>5.0000000000000001E-3</v>
      </c>
      <c r="C44" s="63">
        <v>0</v>
      </c>
      <c r="D44" s="63">
        <v>0</v>
      </c>
      <c r="E44" s="94">
        <f>B44*E33</f>
        <v>145</v>
      </c>
      <c r="G44" s="5"/>
    </row>
    <row r="45" spans="1:15" x14ac:dyDescent="0.25">
      <c r="A45" s="84" t="s">
        <v>23</v>
      </c>
      <c r="B45" s="57">
        <v>5.0000000000000001E-3</v>
      </c>
      <c r="C45" s="63">
        <v>0</v>
      </c>
      <c r="D45" s="63">
        <v>0</v>
      </c>
      <c r="E45" s="94">
        <f>B45*E33</f>
        <v>145</v>
      </c>
      <c r="G45" s="4"/>
    </row>
    <row r="46" spans="1:15" x14ac:dyDescent="0.25">
      <c r="A46" s="84" t="s">
        <v>33</v>
      </c>
      <c r="B46" s="54"/>
      <c r="C46" s="63">
        <v>0</v>
      </c>
      <c r="D46" s="63">
        <v>0</v>
      </c>
      <c r="E46" s="95">
        <f>(E33+E45+E44+E43)/E21</f>
        <v>0.24651211361737677</v>
      </c>
      <c r="G46" s="4"/>
    </row>
    <row r="47" spans="1:15" x14ac:dyDescent="0.25">
      <c r="A47" s="84" t="s">
        <v>40</v>
      </c>
      <c r="B47" s="54"/>
      <c r="C47" s="63">
        <v>0</v>
      </c>
      <c r="D47" s="63">
        <v>0</v>
      </c>
      <c r="E47" s="94">
        <f>E21/E20*E46</f>
        <v>1475.375</v>
      </c>
    </row>
    <row r="48" spans="1:15" x14ac:dyDescent="0.25">
      <c r="A48" s="83" t="s">
        <v>35</v>
      </c>
      <c r="B48" s="55"/>
      <c r="C48" s="66"/>
      <c r="D48" s="66"/>
      <c r="E48" s="96"/>
    </row>
    <row r="49" spans="1:6" x14ac:dyDescent="0.25">
      <c r="A49" s="84" t="s">
        <v>41</v>
      </c>
      <c r="B49" s="54"/>
      <c r="C49" s="69">
        <f>C13-C13*C23/100</f>
        <v>81550.54356563586</v>
      </c>
      <c r="D49" s="69">
        <f>D13-D13*D23</f>
        <v>32620.217426254349</v>
      </c>
      <c r="E49" s="99">
        <f>E13-E13*E23</f>
        <v>16310.108713127171</v>
      </c>
    </row>
    <row r="50" spans="1:6" x14ac:dyDescent="0.25">
      <c r="A50" s="84" t="s">
        <v>6</v>
      </c>
      <c r="B50" s="61">
        <v>9.9599999999999994E-2</v>
      </c>
      <c r="C50" s="63">
        <f>C49*$B$50</f>
        <v>8122.4341391373309</v>
      </c>
      <c r="D50" s="63">
        <f>D49*$B$50</f>
        <v>3248.9736556549328</v>
      </c>
      <c r="E50" s="94">
        <f>E49*$B$50</f>
        <v>1624.4868278274662</v>
      </c>
    </row>
    <row r="51" spans="1:6" x14ac:dyDescent="0.25">
      <c r="A51" s="85" t="s">
        <v>52</v>
      </c>
      <c r="B51" s="54"/>
      <c r="C51" s="73">
        <f>C50-C37-C38-C39</f>
        <v>6442.4341391373309</v>
      </c>
      <c r="D51" s="73">
        <f>D50+D8-D41-D37-D38-D39-D25</f>
        <v>8784.7331105820995</v>
      </c>
      <c r="E51" s="103">
        <f>E50+(E8-(E24*E40+(E3-E24)*E7))-E37-E38-E39-E25-E43-E44-E45</f>
        <v>9057.9994343970266</v>
      </c>
    </row>
    <row r="52" spans="1:6" x14ac:dyDescent="0.25">
      <c r="A52" s="85" t="s">
        <v>3</v>
      </c>
      <c r="B52" s="54"/>
      <c r="C52" s="74">
        <f>C24/C3</f>
        <v>0</v>
      </c>
      <c r="D52" s="76">
        <f>D24/D3</f>
        <v>0.24465163069690757</v>
      </c>
      <c r="E52" s="104">
        <f>E24/E3</f>
        <v>0.32620217426254344</v>
      </c>
    </row>
    <row r="53" spans="1:6" x14ac:dyDescent="0.25">
      <c r="A53" s="85" t="s">
        <v>42</v>
      </c>
      <c r="B53" s="54"/>
      <c r="C53" s="75">
        <f>C28/C51</f>
        <v>14.901200063002088</v>
      </c>
      <c r="D53" s="75">
        <f>D28/D51</f>
        <v>10.928049696166443</v>
      </c>
      <c r="E53" s="105">
        <f>(E28+E33)/E51</f>
        <v>13.799956701843293</v>
      </c>
    </row>
    <row r="54" spans="1:6" ht="15.75" thickBot="1" x14ac:dyDescent="0.3">
      <c r="A54" s="86" t="s">
        <v>51</v>
      </c>
      <c r="B54" s="87"/>
      <c r="C54" s="88">
        <f>C51/C28</f>
        <v>6.7108688949347198E-2</v>
      </c>
      <c r="D54" s="88">
        <f t="shared" ref="D54" si="10">D51/D28</f>
        <v>9.1507636568563533E-2</v>
      </c>
      <c r="E54" s="106">
        <f>E51/(E28+E33)</f>
        <v>7.2463995475176207E-2</v>
      </c>
      <c r="F54" s="107"/>
    </row>
    <row r="55" spans="1:6" ht="15.75" thickTop="1" x14ac:dyDescent="0.25"/>
  </sheetData>
  <mergeCells count="3">
    <mergeCell ref="H1:J1"/>
    <mergeCell ref="K1:M1"/>
    <mergeCell ref="G27:I27"/>
  </mergeCells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Einspeisung und EV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w7pro</dc:creator>
  <cp:lastModifiedBy>Wischer</cp:lastModifiedBy>
  <dcterms:created xsi:type="dcterms:W3CDTF">2017-03-27T10:37:50Z</dcterms:created>
  <dcterms:modified xsi:type="dcterms:W3CDTF">2019-11-28T10:34:48Z</dcterms:modified>
</cp:coreProperties>
</file>